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2120" windowHeight="9000" activeTab="0"/>
  </bookViews>
  <sheets>
    <sheet name="A" sheetId="1" r:id="rId1"/>
  </sheets>
  <definedNames/>
  <calcPr calcMode="autoNoTable" fullCalcOnLoad="1" iterate="1" iterateCount="1" iterateDelta="0"/>
</workbook>
</file>

<file path=xl/sharedStrings.xml><?xml version="1.0" encoding="utf-8"?>
<sst xmlns="http://schemas.openxmlformats.org/spreadsheetml/2006/main" count="284" uniqueCount="104">
  <si>
    <t>Australian Bureau of Statistics</t>
  </si>
  <si>
    <t>Statistics - Tasmania, Historical tables</t>
  </si>
  <si>
    <t>Value of Trade by Sea and Air and Vessels Entered and Cleared, Tasmanian Ports</t>
  </si>
  <si>
    <t>Imports</t>
  </si>
  <si>
    <t>Exports</t>
  </si>
  <si>
    <t>Vessels entered Tasmanian ports</t>
  </si>
  <si>
    <t>Overseas</t>
  </si>
  <si>
    <t>Interstate</t>
  </si>
  <si>
    <t>Overseas(b)</t>
  </si>
  <si>
    <t>Interstate(b)</t>
  </si>
  <si>
    <t>By sea and air</t>
  </si>
  <si>
    <t>By sea(a)</t>
  </si>
  <si>
    <t>By air</t>
  </si>
  <si>
    <t>Total(a)</t>
  </si>
  <si>
    <t>Overseas and interstate(c)</t>
  </si>
  <si>
    <t>Year</t>
  </si>
  <si>
    <t xml:space="preserve"> $’000</t>
  </si>
  <si>
    <t>no.</t>
  </si>
  <si>
    <t>n.a.</t>
  </si>
  <si>
    <t xml:space="preserve"> 292</t>
  </si>
  <si>
    <t xml:space="preserve"> n.a.</t>
  </si>
  <si>
    <t>(d)</t>
  </si>
  <si>
    <t xml:space="preserve">n.a. </t>
  </si>
  <si>
    <t xml:space="preserve">      </t>
  </si>
  <si>
    <t xml:space="preserve">       </t>
  </si>
  <si>
    <t xml:space="preserve">         </t>
  </si>
  <si>
    <t xml:space="preserve">        </t>
  </si>
  <si>
    <t>1919-20</t>
  </si>
  <si>
    <t>1929-30</t>
  </si>
  <si>
    <t>1939-40</t>
  </si>
  <si>
    <t>1949-50</t>
  </si>
  <si>
    <t>(e)10,670</t>
  </si>
  <si>
    <t>1959-60</t>
  </si>
  <si>
    <t>1960-61</t>
  </si>
  <si>
    <t>1961-62</t>
  </si>
  <si>
    <t>1962-63</t>
  </si>
  <si>
    <t>1963-64</t>
  </si>
  <si>
    <t>1964-65</t>
  </si>
  <si>
    <t>1965-66</t>
  </si>
  <si>
    <t>(f)1,645</t>
  </si>
  <si>
    <t>(f)3,887</t>
  </si>
  <si>
    <t>1966-67</t>
  </si>
  <si>
    <t>1967-68</t>
  </si>
  <si>
    <t>1968-69</t>
  </si>
  <si>
    <t>1969-70</t>
  </si>
  <si>
    <t>1970-71</t>
  </si>
  <si>
    <t>1971-72</t>
  </si>
  <si>
    <t>1972-73</t>
  </si>
  <si>
    <t>1973-74</t>
  </si>
  <si>
    <t>1974-75</t>
  </si>
  <si>
    <t>1975-76</t>
  </si>
  <si>
    <t>1976-77</t>
  </si>
  <si>
    <t>1977-78</t>
  </si>
  <si>
    <t>1978-79</t>
  </si>
  <si>
    <t>n.a</t>
  </si>
  <si>
    <t>1979-80</t>
  </si>
  <si>
    <t xml:space="preserve"> 646,827</t>
  </si>
  <si>
    <t>1980-81</t>
  </si>
  <si>
    <t xml:space="preserve"> 658,013</t>
  </si>
  <si>
    <t>1981-82</t>
  </si>
  <si>
    <t xml:space="preserve"> 647,617</t>
  </si>
  <si>
    <t>1982-83</t>
  </si>
  <si>
    <t xml:space="preserve"> 773,133</t>
  </si>
  <si>
    <t>1983-84</t>
  </si>
  <si>
    <t xml:space="preserve"> 774,308</t>
  </si>
  <si>
    <t>1984-85</t>
  </si>
  <si>
    <t xml:space="preserve"> 841,312</t>
  </si>
  <si>
    <t xml:space="preserve"> (h)1,739</t>
  </si>
  <si>
    <t>(i)13,734</t>
  </si>
  <si>
    <t>1985-86</t>
  </si>
  <si>
    <t>(g)n.a.</t>
  </si>
  <si>
    <t xml:space="preserve"> 900,011</t>
  </si>
  <si>
    <t xml:space="preserve"> 2,087</t>
  </si>
  <si>
    <t>1986-87</t>
  </si>
  <si>
    <t xml:space="preserve"> 1,980</t>
  </si>
  <si>
    <t>1987-88</t>
  </si>
  <si>
    <t xml:space="preserve"> 1,858</t>
  </si>
  <si>
    <t>1988-89</t>
  </si>
  <si>
    <t xml:space="preserve"> 1,939</t>
  </si>
  <si>
    <t>1989-90</t>
  </si>
  <si>
    <t>1990-91</t>
  </si>
  <si>
    <t>1991-92</t>
  </si>
  <si>
    <t>1992-93</t>
  </si>
  <si>
    <t>1993-94</t>
  </si>
  <si>
    <t>1994-95</t>
  </si>
  <si>
    <t>1995-96</t>
  </si>
  <si>
    <t>1996-97</t>
  </si>
  <si>
    <t>1997-98</t>
  </si>
  <si>
    <t>1998-99</t>
  </si>
  <si>
    <t>1999-2000</t>
  </si>
  <si>
    <t>2000-01</t>
  </si>
  <si>
    <t>n.a.  not available</t>
  </si>
  <si>
    <t xml:space="preserve">(a) Data for 1979-80 onwards are not directly comparable with data for previous years because of revisions to estimating procedures to take account of inadequate documentation available for interstate imports by sea. </t>
  </si>
  <si>
    <t xml:space="preserve">(c) In this section each vessel is recorded as an entry at the first Tasmanian port of call only; intrastate movements are excluded. </t>
  </si>
  <si>
    <t>(d) Collection discontinued until 1922-23.</t>
  </si>
  <si>
    <t>(e) Not collected before 1949-50.</t>
  </si>
  <si>
    <t>(f) From 1966-67 not comparable with previous years; details are now confined to vessels of over 200 registered net tons engaged solely in trade.</t>
  </si>
  <si>
    <t>(g) Figures no longer available, due to discontinuation of the Interstate Imports Collection.</t>
  </si>
  <si>
    <t>(h) Overseas only.</t>
  </si>
  <si>
    <t>(i) Deadweight tonnes used from 1984-85.</t>
  </si>
  <si>
    <t>© Commonwealth of Australia, 2002</t>
  </si>
  <si>
    <t>(b) Data for 1978-79 onwards are not directly comparable with data for previous years. From 1 July 1978 overseas export figures relate to all goods leaving Tasmania for overseas countries. Prior to that date export figures relate to only goods leaving Tasmania for overseas countries for which documents had been lodged with customs in Tasmania.</t>
  </si>
  <si>
    <t>(e)3,996</t>
  </si>
  <si>
    <t>’000 net tonnes(i)</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</si>
</sst>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
    <font>
      <sz val="12"/>
      <name val="Arial"/>
      <family val="0"/>
    </font>
    <font>
      <b/>
      <sz val="10"/>
      <name val="Arial"/>
      <family val="0"/>
    </font>
    <font>
      <i/>
      <sz val="10"/>
      <name val="Arial"/>
      <family val="0"/>
    </font>
    <font>
      <b/>
      <i/>
      <sz val="10"/>
      <name val="Arial"/>
      <family val="0"/>
    </font>
    <font>
      <b/>
      <sz val="12"/>
      <name val="Arial"/>
      <family val="0"/>
    </font>
    <font>
      <sz val="10"/>
      <name val="Arial"/>
      <family val="0"/>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8">
    <xf numFmtId="0" fontId="0" fillId="0" borderId="0" xfId="0" applyAlignment="1">
      <alignment/>
    </xf>
    <xf numFmtId="0" fontId="4" fillId="2" borderId="0" xfId="0" applyNumberFormat="1" applyFont="1" applyFill="1" applyAlignment="1">
      <alignment horizontal="left"/>
    </xf>
    <xf numFmtId="0" fontId="0" fillId="2" borderId="0" xfId="0" applyNumberFormat="1" applyFont="1" applyFill="1" applyAlignment="1">
      <alignment/>
    </xf>
    <xf numFmtId="0" fontId="4" fillId="2" borderId="0" xfId="0" applyNumberFormat="1" applyFont="1" applyFill="1" applyAlignment="1">
      <alignment horizontal="left"/>
    </xf>
    <xf numFmtId="0" fontId="1" fillId="2" borderId="0" xfId="0" applyNumberFormat="1" applyFont="1" applyFill="1" applyAlignment="1">
      <alignment horizontal="left"/>
    </xf>
    <xf numFmtId="0" fontId="5" fillId="2" borderId="0" xfId="0" applyNumberFormat="1" applyFont="1" applyFill="1" applyAlignment="1">
      <alignment/>
    </xf>
    <xf numFmtId="0" fontId="5" fillId="2" borderId="0" xfId="0" applyNumberFormat="1" applyFont="1" applyFill="1" applyAlignment="1">
      <alignment horizontal="left"/>
    </xf>
    <xf numFmtId="0" fontId="5" fillId="2" borderId="0" xfId="0" applyNumberFormat="1" applyFont="1" applyFill="1" applyAlignment="1">
      <alignment horizontal="centerContinuous"/>
    </xf>
    <xf numFmtId="0" fontId="5" fillId="2" borderId="0" xfId="0" applyNumberFormat="1" applyFont="1" applyFill="1" applyAlignment="1">
      <alignment horizontal="right"/>
    </xf>
    <xf numFmtId="0" fontId="5" fillId="2" borderId="1" xfId="0" applyNumberFormat="1" applyFont="1" applyFill="1" applyAlignment="1">
      <alignment horizontal="right"/>
    </xf>
    <xf numFmtId="0" fontId="0" fillId="2" borderId="1" xfId="0" applyNumberFormat="1" applyFont="1" applyFill="1" applyAlignment="1">
      <alignment/>
    </xf>
    <xf numFmtId="0" fontId="5" fillId="2" borderId="1" xfId="0" applyNumberFormat="1" applyFont="1" applyFill="1" applyAlignment="1">
      <alignment horizontal="centerContinuous" wrapText="1"/>
    </xf>
    <xf numFmtId="0" fontId="0" fillId="2" borderId="0" xfId="0" applyNumberFormat="1" applyFont="1" applyFill="1" applyAlignment="1">
      <alignment horizontal="left"/>
    </xf>
    <xf numFmtId="0" fontId="5" fillId="2" borderId="1" xfId="0" applyNumberFormat="1" applyFont="1" applyFill="1" applyAlignment="1">
      <alignment horizontal="right" wrapText="1"/>
    </xf>
    <xf numFmtId="0" fontId="5" fillId="2" borderId="0" xfId="0" applyNumberFormat="1" applyFont="1" applyFill="1" applyAlignment="1">
      <alignment horizontal="right" wrapText="1"/>
    </xf>
    <xf numFmtId="0" fontId="5" fillId="2" borderId="0" xfId="0" applyNumberFormat="1" applyFont="1" applyFill="1" applyAlignment="1">
      <alignment horizontal="centerContinuous" wrapText="1"/>
    </xf>
    <xf numFmtId="0" fontId="5" fillId="2" borderId="0" xfId="0" applyNumberFormat="1" applyFont="1" applyFill="1" applyAlignment="1">
      <alignment horizontal="left" wrapText="1"/>
    </xf>
    <xf numFmtId="0" fontId="5" fillId="2" borderId="1" xfId="0" applyNumberFormat="1" applyFont="1" applyFill="1" applyAlignment="1">
      <alignment horizontal="left"/>
    </xf>
    <xf numFmtId="3" fontId="5" fillId="2" borderId="1" xfId="0" applyNumberFormat="1" applyFont="1" applyFill="1" applyAlignment="1">
      <alignment horizontal="right"/>
    </xf>
    <xf numFmtId="3" fontId="5" fillId="2" borderId="0" xfId="0" applyNumberFormat="1" applyFont="1" applyFill="1" applyAlignment="1">
      <alignment horizontal="right"/>
    </xf>
    <xf numFmtId="0" fontId="0" fillId="2" borderId="0" xfId="0" applyNumberFormat="1" applyFont="1" applyFill="1" applyAlignment="1">
      <alignment horizontal="left" wrapText="1"/>
    </xf>
    <xf numFmtId="0" fontId="5" fillId="2" borderId="0" xfId="0" applyNumberFormat="1" applyFont="1" applyFill="1" applyAlignment="1">
      <alignment horizontal="left" wrapText="1"/>
    </xf>
    <xf numFmtId="0" fontId="0" fillId="0" borderId="0" xfId="0" applyAlignment="1">
      <alignment/>
    </xf>
    <xf numFmtId="0" fontId="1" fillId="2" borderId="0" xfId="0" applyNumberFormat="1" applyFont="1" applyFill="1" applyAlignment="1">
      <alignment horizontal="left" wrapText="1"/>
    </xf>
    <xf numFmtId="0" fontId="4" fillId="0" borderId="0" xfId="0" applyFont="1" applyAlignment="1">
      <alignment/>
    </xf>
    <xf numFmtId="0" fontId="5" fillId="2" borderId="2" xfId="0" applyNumberFormat="1" applyFont="1" applyFill="1" applyBorder="1" applyAlignment="1">
      <alignment horizontal="right" wrapText="1"/>
    </xf>
    <xf numFmtId="0" fontId="0" fillId="0" borderId="2" xfId="0" applyBorder="1" applyAlignment="1">
      <alignment horizontal="right" wrapText="1"/>
    </xf>
    <xf numFmtId="0" fontId="5" fillId="2" borderId="3" xfId="0" applyNumberFormat="1" applyFont="1" applyFill="1" applyBorder="1" applyAlignment="1">
      <alignment horizontal="right"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79"/>
  <sheetViews>
    <sheetView tabSelected="1" showOutlineSymbols="0" zoomScale="87" zoomScaleNormal="87" workbookViewId="0" topLeftCell="A1">
      <selection activeCell="A1" sqref="A1"/>
    </sheetView>
  </sheetViews>
  <sheetFormatPr defaultColWidth="9.6640625" defaultRowHeight="15"/>
  <cols>
    <col min="1" max="1" width="11.6640625" style="12" customWidth="1"/>
    <col min="2" max="2" width="9.6640625" style="2" customWidth="1"/>
    <col min="3" max="3" width="7.6640625" style="2" customWidth="1"/>
    <col min="4" max="6" width="9.6640625" style="2" customWidth="1"/>
    <col min="7" max="7" width="6.6640625" style="2" customWidth="1"/>
    <col min="8" max="8" width="9.6640625" style="2" customWidth="1"/>
    <col min="9" max="9" width="7.6640625" style="2" customWidth="1"/>
    <col min="10" max="12" width="9.6640625" style="2" customWidth="1"/>
    <col min="13" max="13" width="6.6640625" style="2" customWidth="1"/>
    <col min="14" max="14" width="9.6640625" style="2" customWidth="1"/>
    <col min="15" max="15" width="13.88671875" style="2" customWidth="1"/>
    <col min="16" max="16384" width="9.6640625" style="2" customWidth="1"/>
  </cols>
  <sheetData>
    <row r="1" ht="15.75">
      <c r="A1" s="1" t="s">
        <v>0</v>
      </c>
    </row>
    <row r="2" ht="15.75">
      <c r="A2" s="3" t="s">
        <v>1</v>
      </c>
    </row>
    <row r="3" ht="15">
      <c r="A3" s="4" t="s">
        <v>2</v>
      </c>
    </row>
    <row r="4" spans="1:256" ht="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256" ht="27.75" customHeight="1">
      <c r="A5" s="6"/>
      <c r="D5" s="7"/>
      <c r="E5" s="7"/>
      <c r="F5" s="8" t="s">
        <v>3</v>
      </c>
      <c r="G5" s="7"/>
      <c r="J5" s="7"/>
      <c r="K5" s="7"/>
      <c r="L5" s="8" t="s">
        <v>4</v>
      </c>
      <c r="M5" s="8"/>
      <c r="N5" s="25" t="s">
        <v>5</v>
      </c>
      <c r="O5" s="26"/>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ht="15">
      <c r="A6" s="6"/>
      <c r="B6" s="9" t="s">
        <v>6</v>
      </c>
      <c r="C6" s="9"/>
      <c r="D6" s="27" t="s">
        <v>7</v>
      </c>
      <c r="E6" s="27"/>
      <c r="F6" s="9"/>
      <c r="G6" s="8"/>
      <c r="H6" s="9" t="s">
        <v>8</v>
      </c>
      <c r="I6" s="9"/>
      <c r="J6" s="10"/>
      <c r="K6" s="11" t="s">
        <v>9</v>
      </c>
      <c r="L6" s="9"/>
      <c r="M6" s="8"/>
      <c r="N6" s="9"/>
      <c r="O6" s="9"/>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2:256" ht="31.5" customHeight="1">
      <c r="B7" s="13" t="s">
        <v>10</v>
      </c>
      <c r="C7" s="14"/>
      <c r="D7" s="13" t="s">
        <v>11</v>
      </c>
      <c r="E7" s="13" t="s">
        <v>12</v>
      </c>
      <c r="F7" s="14" t="s">
        <v>13</v>
      </c>
      <c r="G7" s="14"/>
      <c r="H7" s="13" t="s">
        <v>10</v>
      </c>
      <c r="I7" s="14"/>
      <c r="J7" s="13" t="s">
        <v>11</v>
      </c>
      <c r="K7" s="13" t="s">
        <v>12</v>
      </c>
      <c r="L7" s="14" t="s">
        <v>13</v>
      </c>
      <c r="M7" s="14"/>
      <c r="N7" s="25" t="s">
        <v>14</v>
      </c>
      <c r="O7" s="25"/>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pans="1:256" ht="15" customHeight="1">
      <c r="A8" s="16" t="s">
        <v>15</v>
      </c>
      <c r="B8" s="8" t="s">
        <v>16</v>
      </c>
      <c r="C8" s="8"/>
      <c r="D8" s="8" t="s">
        <v>16</v>
      </c>
      <c r="E8" s="8" t="s">
        <v>16</v>
      </c>
      <c r="F8" s="8" t="s">
        <v>16</v>
      </c>
      <c r="G8" s="8"/>
      <c r="H8" s="8" t="s">
        <v>16</v>
      </c>
      <c r="I8" s="8"/>
      <c r="J8" s="8" t="s">
        <v>16</v>
      </c>
      <c r="K8" s="8" t="s">
        <v>16</v>
      </c>
      <c r="L8" s="8" t="s">
        <v>16</v>
      </c>
      <c r="M8" s="8"/>
      <c r="N8" s="9" t="s">
        <v>17</v>
      </c>
      <c r="O8" s="13" t="s">
        <v>103</v>
      </c>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row>
    <row r="9" spans="1:256" ht="15">
      <c r="A9" s="17">
        <v>1830</v>
      </c>
      <c r="B9" s="18" t="s">
        <v>18</v>
      </c>
      <c r="C9" s="18"/>
      <c r="D9" s="18" t="s">
        <v>18</v>
      </c>
      <c r="E9" s="18" t="s">
        <v>18</v>
      </c>
      <c r="F9" s="18">
        <v>510</v>
      </c>
      <c r="G9" s="18"/>
      <c r="H9" s="18" t="s">
        <v>18</v>
      </c>
      <c r="I9" s="18"/>
      <c r="J9" s="18" t="s">
        <v>18</v>
      </c>
      <c r="K9" s="18" t="s">
        <v>18</v>
      </c>
      <c r="L9" s="18" t="s">
        <v>19</v>
      </c>
      <c r="M9" s="18"/>
      <c r="N9" s="18">
        <f>101</f>
        <v>101</v>
      </c>
      <c r="O9" s="18">
        <f>27</f>
        <v>27</v>
      </c>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row>
    <row r="10" spans="1:256" ht="15">
      <c r="A10" s="6">
        <v>1840</v>
      </c>
      <c r="B10" s="19" t="s">
        <v>18</v>
      </c>
      <c r="C10" s="19"/>
      <c r="D10" s="19" t="s">
        <v>18</v>
      </c>
      <c r="E10" s="19" t="s">
        <v>18</v>
      </c>
      <c r="F10" s="19">
        <f>1976</f>
        <v>1976</v>
      </c>
      <c r="G10" s="19"/>
      <c r="H10" s="19" t="s">
        <v>18</v>
      </c>
      <c r="I10" s="19"/>
      <c r="J10" s="19" t="s">
        <v>18</v>
      </c>
      <c r="K10" s="19" t="s">
        <v>18</v>
      </c>
      <c r="L10" s="19">
        <f>1734</f>
        <v>1734</v>
      </c>
      <c r="M10" s="19"/>
      <c r="N10" s="19">
        <f>492</f>
        <v>492</v>
      </c>
      <c r="O10" s="19">
        <f>85</f>
        <v>85</v>
      </c>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row>
    <row r="11" spans="1:256" ht="15">
      <c r="A11" s="6">
        <v>1850</v>
      </c>
      <c r="B11" s="19" t="s">
        <v>18</v>
      </c>
      <c r="C11" s="19"/>
      <c r="D11" s="19" t="s">
        <v>18</v>
      </c>
      <c r="E11" s="19" t="s">
        <v>18</v>
      </c>
      <c r="F11" s="19">
        <f>1318</f>
        <v>1318</v>
      </c>
      <c r="G11" s="19"/>
      <c r="H11" s="19" t="s">
        <v>18</v>
      </c>
      <c r="I11" s="19"/>
      <c r="J11" s="19" t="s">
        <v>18</v>
      </c>
      <c r="K11" s="19" t="s">
        <v>18</v>
      </c>
      <c r="L11" s="19">
        <f>1288</f>
        <v>1288</v>
      </c>
      <c r="M11" s="19"/>
      <c r="N11" s="19">
        <f>674</f>
        <v>674</v>
      </c>
      <c r="O11" s="19">
        <f>104</f>
        <v>104</v>
      </c>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row>
    <row r="12" spans="1:256" ht="15">
      <c r="A12" s="6">
        <v>1860</v>
      </c>
      <c r="B12" s="19">
        <f>1686</f>
        <v>1686</v>
      </c>
      <c r="C12" s="19"/>
      <c r="D12" s="19">
        <f>450</f>
        <v>450</v>
      </c>
      <c r="E12" s="19" t="s">
        <v>18</v>
      </c>
      <c r="F12" s="19">
        <f>2136</f>
        <v>2136</v>
      </c>
      <c r="G12" s="19"/>
      <c r="H12" s="19">
        <f>1544</f>
        <v>1544</v>
      </c>
      <c r="I12" s="19"/>
      <c r="J12" s="19">
        <f>380</f>
        <v>380</v>
      </c>
      <c r="K12" s="19" t="s">
        <v>18</v>
      </c>
      <c r="L12" s="19">
        <f>1924</f>
        <v>1924</v>
      </c>
      <c r="M12" s="19"/>
      <c r="N12" s="19">
        <f>806</f>
        <v>806</v>
      </c>
      <c r="O12" s="19">
        <f>116</f>
        <v>116</v>
      </c>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ht="15">
      <c r="A13" s="6">
        <v>1870</v>
      </c>
      <c r="B13" s="19">
        <f>698</f>
        <v>698</v>
      </c>
      <c r="C13" s="19"/>
      <c r="D13" s="19">
        <f>888</f>
        <v>888</v>
      </c>
      <c r="E13" s="19" t="s">
        <v>18</v>
      </c>
      <c r="F13" s="19">
        <f>1586</f>
        <v>1586</v>
      </c>
      <c r="G13" s="19"/>
      <c r="H13" s="19">
        <f>562</f>
        <v>562</v>
      </c>
      <c r="I13" s="19"/>
      <c r="J13" s="19">
        <f>736</f>
        <v>736</v>
      </c>
      <c r="K13" s="19" t="s">
        <v>18</v>
      </c>
      <c r="L13" s="19">
        <f>1298</f>
        <v>1298</v>
      </c>
      <c r="M13" s="19"/>
      <c r="N13" s="19">
        <f>613</f>
        <v>613</v>
      </c>
      <c r="O13" s="19">
        <f>106</f>
        <v>106</v>
      </c>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ht="15">
      <c r="A14" s="6">
        <v>1880</v>
      </c>
      <c r="B14" s="19">
        <f>738</f>
        <v>738</v>
      </c>
      <c r="C14" s="19"/>
      <c r="D14" s="19">
        <f>2000</f>
        <v>2000</v>
      </c>
      <c r="E14" s="19" t="s">
        <v>18</v>
      </c>
      <c r="F14" s="19">
        <f>2738</f>
        <v>2738</v>
      </c>
      <c r="G14" s="19"/>
      <c r="H14" s="19">
        <f>1568</f>
        <v>1568</v>
      </c>
      <c r="I14" s="19"/>
      <c r="J14" s="19">
        <f>1456</f>
        <v>1456</v>
      </c>
      <c r="K14" s="19" t="s">
        <v>20</v>
      </c>
      <c r="L14" s="19">
        <f>3024</f>
        <v>3024</v>
      </c>
      <c r="M14" s="19"/>
      <c r="N14" s="19">
        <f>654</f>
        <v>654</v>
      </c>
      <c r="O14" s="19">
        <f>205</f>
        <v>205</v>
      </c>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ht="15">
      <c r="A15" s="6">
        <v>1890</v>
      </c>
      <c r="B15" s="19">
        <f>1594</f>
        <v>1594</v>
      </c>
      <c r="C15" s="19"/>
      <c r="D15" s="19">
        <f>2202</f>
        <v>2202</v>
      </c>
      <c r="E15" s="19" t="s">
        <v>18</v>
      </c>
      <c r="F15" s="19">
        <f>3796</f>
        <v>3796</v>
      </c>
      <c r="G15" s="19"/>
      <c r="H15" s="19">
        <f>792</f>
        <v>792</v>
      </c>
      <c r="I15" s="19"/>
      <c r="J15" s="19">
        <f>2182</f>
        <v>2182</v>
      </c>
      <c r="K15" s="19" t="s">
        <v>20</v>
      </c>
      <c r="L15" s="19">
        <f>2974</f>
        <v>2974</v>
      </c>
      <c r="M15" s="19"/>
      <c r="N15" s="19">
        <f>746</f>
        <v>746</v>
      </c>
      <c r="O15" s="19">
        <f>476</f>
        <v>476</v>
      </c>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ht="15">
      <c r="A16" s="6">
        <v>1900</v>
      </c>
      <c r="B16" s="19">
        <f>1402</f>
        <v>1402</v>
      </c>
      <c r="C16" s="19"/>
      <c r="D16" s="19">
        <f>2746</f>
        <v>2746</v>
      </c>
      <c r="E16" s="19" t="s">
        <v>18</v>
      </c>
      <c r="F16" s="19">
        <f>4148</f>
        <v>4148</v>
      </c>
      <c r="G16" s="19"/>
      <c r="H16" s="19">
        <f>3078</f>
        <v>3078</v>
      </c>
      <c r="I16" s="19"/>
      <c r="J16" s="19">
        <f>2144</f>
        <v>2144</v>
      </c>
      <c r="K16" s="19" t="s">
        <v>20</v>
      </c>
      <c r="L16" s="19">
        <f>5222</f>
        <v>5222</v>
      </c>
      <c r="M16" s="19"/>
      <c r="N16" s="19">
        <f>741</f>
        <v>741</v>
      </c>
      <c r="O16" s="19">
        <f>619</f>
        <v>619</v>
      </c>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ht="15">
      <c r="A17" s="6">
        <v>1910</v>
      </c>
      <c r="B17" s="19">
        <f>1662</f>
        <v>1662</v>
      </c>
      <c r="C17" s="19"/>
      <c r="D17" s="19" t="s">
        <v>21</v>
      </c>
      <c r="E17" s="19" t="s">
        <v>18</v>
      </c>
      <c r="F17" s="19" t="s">
        <v>18</v>
      </c>
      <c r="G17" s="19"/>
      <c r="H17" s="19">
        <f>1040</f>
        <v>1040</v>
      </c>
      <c r="I17" s="19"/>
      <c r="J17" s="19" t="s">
        <v>21</v>
      </c>
      <c r="K17" s="19" t="s">
        <v>18</v>
      </c>
      <c r="L17" s="19" t="s">
        <v>22</v>
      </c>
      <c r="M17" s="19"/>
      <c r="N17" s="19">
        <f>979</f>
        <v>979</v>
      </c>
      <c r="O17" s="19">
        <f>1211</f>
        <v>1211</v>
      </c>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ht="15">
      <c r="A18" s="6"/>
      <c r="B18" s="19" t="s">
        <v>23</v>
      </c>
      <c r="C18" s="19"/>
      <c r="D18" s="19" t="s">
        <v>23</v>
      </c>
      <c r="E18" s="19"/>
      <c r="F18" s="19" t="s">
        <v>23</v>
      </c>
      <c r="G18" s="19"/>
      <c r="H18" s="19" t="s">
        <v>23</v>
      </c>
      <c r="I18" s="19"/>
      <c r="J18" s="19" t="s">
        <v>23</v>
      </c>
      <c r="K18" s="19"/>
      <c r="L18" s="19" t="s">
        <v>24</v>
      </c>
      <c r="M18" s="19"/>
      <c r="N18" s="19" t="s">
        <v>25</v>
      </c>
      <c r="O18" s="19" t="s">
        <v>26</v>
      </c>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ht="15">
      <c r="A19" s="6" t="s">
        <v>27</v>
      </c>
      <c r="B19" s="19">
        <f>1626</f>
        <v>1626</v>
      </c>
      <c r="C19" s="19"/>
      <c r="D19" s="19" t="s">
        <v>21</v>
      </c>
      <c r="E19" s="19" t="s">
        <v>18</v>
      </c>
      <c r="F19" s="19" t="s">
        <v>18</v>
      </c>
      <c r="G19" s="19"/>
      <c r="H19" s="19">
        <f>4022</f>
        <v>4022</v>
      </c>
      <c r="I19" s="19"/>
      <c r="J19" s="19" t="s">
        <v>21</v>
      </c>
      <c r="K19" s="19" t="s">
        <v>20</v>
      </c>
      <c r="L19" s="19" t="s">
        <v>22</v>
      </c>
      <c r="M19" s="19"/>
      <c r="N19" s="19">
        <f>841</f>
        <v>841</v>
      </c>
      <c r="O19" s="19">
        <f>632</f>
        <v>632</v>
      </c>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ht="15">
      <c r="A20" s="6" t="s">
        <v>28</v>
      </c>
      <c r="B20" s="19">
        <f>3668</f>
        <v>3668</v>
      </c>
      <c r="C20" s="19"/>
      <c r="D20" s="19">
        <f>16028</f>
        <v>16028</v>
      </c>
      <c r="E20" s="19" t="s">
        <v>18</v>
      </c>
      <c r="F20" s="19">
        <f>19696</f>
        <v>19696</v>
      </c>
      <c r="G20" s="19"/>
      <c r="H20" s="19">
        <f>4978</f>
        <v>4978</v>
      </c>
      <c r="I20" s="19"/>
      <c r="J20" s="19">
        <f>13198</f>
        <v>13198</v>
      </c>
      <c r="K20" s="19" t="s">
        <v>18</v>
      </c>
      <c r="L20" s="19">
        <f>18176</f>
        <v>18176</v>
      </c>
      <c r="M20" s="19"/>
      <c r="N20" s="19">
        <f>1076</f>
        <v>1076</v>
      </c>
      <c r="O20" s="19">
        <f>1390</f>
        <v>1390</v>
      </c>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row>
    <row r="21" spans="1:256" ht="15">
      <c r="A21" s="6" t="s">
        <v>29</v>
      </c>
      <c r="B21" s="19">
        <f>3188</f>
        <v>3188</v>
      </c>
      <c r="C21" s="19"/>
      <c r="D21" s="19">
        <f>21780</f>
        <v>21780</v>
      </c>
      <c r="E21" s="19" t="s">
        <v>18</v>
      </c>
      <c r="F21" s="19">
        <f>24968</f>
        <v>24968</v>
      </c>
      <c r="G21" s="19"/>
      <c r="H21" s="19">
        <f>4852</f>
        <v>4852</v>
      </c>
      <c r="I21" s="19"/>
      <c r="J21" s="19">
        <f>20954</f>
        <v>20954</v>
      </c>
      <c r="K21" s="19" t="s">
        <v>18</v>
      </c>
      <c r="L21" s="19">
        <f>25806</f>
        <v>25806</v>
      </c>
      <c r="M21" s="19"/>
      <c r="N21" s="19">
        <f>1243</f>
        <v>1243</v>
      </c>
      <c r="O21" s="19">
        <f>1512</f>
        <v>1512</v>
      </c>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row>
    <row r="22" spans="1:256" ht="15">
      <c r="A22" s="6" t="s">
        <v>30</v>
      </c>
      <c r="B22" s="19">
        <f>18704</f>
        <v>18704</v>
      </c>
      <c r="C22" s="19"/>
      <c r="D22" s="19">
        <f>51218</f>
        <v>51218</v>
      </c>
      <c r="E22" s="19" t="s">
        <v>31</v>
      </c>
      <c r="F22" s="19">
        <f>80592</f>
        <v>80592</v>
      </c>
      <c r="G22" s="19"/>
      <c r="H22" s="19">
        <f>29936</f>
        <v>29936</v>
      </c>
      <c r="I22" s="19"/>
      <c r="J22" s="19">
        <f>42672</f>
        <v>42672</v>
      </c>
      <c r="K22" s="19" t="s">
        <v>102</v>
      </c>
      <c r="L22" s="19">
        <f>76604</f>
        <v>76604</v>
      </c>
      <c r="M22" s="19"/>
      <c r="N22" s="19">
        <f>862</f>
        <v>862</v>
      </c>
      <c r="O22" s="19">
        <f>1183</f>
        <v>1183</v>
      </c>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row>
    <row r="23" spans="1:256" ht="15">
      <c r="A23" s="6" t="s">
        <v>32</v>
      </c>
      <c r="B23" s="19">
        <f>27606</f>
        <v>27606</v>
      </c>
      <c r="C23" s="19"/>
      <c r="D23" s="19">
        <v>130014</v>
      </c>
      <c r="E23" s="19">
        <f>19210</f>
        <v>19210</v>
      </c>
      <c r="F23" s="19">
        <v>176830</v>
      </c>
      <c r="G23" s="19"/>
      <c r="H23" s="19">
        <f>47730</f>
        <v>47730</v>
      </c>
      <c r="I23" s="19"/>
      <c r="J23" s="19">
        <v>137530</v>
      </c>
      <c r="K23" s="19">
        <f>20818</f>
        <v>20818</v>
      </c>
      <c r="L23" s="19">
        <f>206078</f>
        <v>206078</v>
      </c>
      <c r="M23" s="19"/>
      <c r="N23" s="19">
        <f>1308</f>
        <v>1308</v>
      </c>
      <c r="O23" s="19">
        <f>2287</f>
        <v>2287</v>
      </c>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row>
    <row r="24" spans="1:256" ht="15">
      <c r="A24" s="6" t="s">
        <v>33</v>
      </c>
      <c r="B24" s="19">
        <f>37208</f>
        <v>37208</v>
      </c>
      <c r="C24" s="19"/>
      <c r="D24" s="19">
        <v>141086</v>
      </c>
      <c r="E24" s="19">
        <f>19356</f>
        <v>19356</v>
      </c>
      <c r="F24" s="19">
        <v>197650</v>
      </c>
      <c r="G24" s="19"/>
      <c r="H24" s="19">
        <f>42588</f>
        <v>42588</v>
      </c>
      <c r="I24" s="19"/>
      <c r="J24" s="19">
        <v>143036</v>
      </c>
      <c r="K24" s="19">
        <f>21944</f>
        <v>21944</v>
      </c>
      <c r="L24" s="19">
        <f>207568</f>
        <v>207568</v>
      </c>
      <c r="M24" s="19"/>
      <c r="N24" s="19">
        <f>1354</f>
        <v>1354</v>
      </c>
      <c r="O24" s="19">
        <f>2546</f>
        <v>2546</v>
      </c>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row>
    <row r="25" spans="1:256" ht="15">
      <c r="A25" s="6" t="s">
        <v>34</v>
      </c>
      <c r="B25" s="19">
        <f>26788</f>
        <v>26788</v>
      </c>
      <c r="C25" s="19"/>
      <c r="D25" s="19">
        <v>141776</v>
      </c>
      <c r="E25" s="19">
        <f>18000</f>
        <v>18000</v>
      </c>
      <c r="F25" s="19">
        <v>186564</v>
      </c>
      <c r="G25" s="19"/>
      <c r="H25" s="19">
        <f>57196</f>
        <v>57196</v>
      </c>
      <c r="I25" s="19"/>
      <c r="J25" s="19">
        <v>140794</v>
      </c>
      <c r="K25" s="19">
        <f>23298</f>
        <v>23298</v>
      </c>
      <c r="L25" s="19">
        <f>221288</f>
        <v>221288</v>
      </c>
      <c r="M25" s="19"/>
      <c r="N25" s="19">
        <f>1533</f>
        <v>1533</v>
      </c>
      <c r="O25" s="19">
        <f>3042</f>
        <v>3042</v>
      </c>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row>
    <row r="26" spans="1:256" ht="15">
      <c r="A26" s="6" t="s">
        <v>35</v>
      </c>
      <c r="B26" s="19">
        <f>35746</f>
        <v>35746</v>
      </c>
      <c r="C26" s="19"/>
      <c r="D26" s="19">
        <v>150620</v>
      </c>
      <c r="E26" s="19">
        <f>18158</f>
        <v>18158</v>
      </c>
      <c r="F26" s="19">
        <v>204524</v>
      </c>
      <c r="G26" s="19"/>
      <c r="H26" s="19">
        <f>66792</f>
        <v>66792</v>
      </c>
      <c r="I26" s="19"/>
      <c r="J26" s="19">
        <v>146454</v>
      </c>
      <c r="K26" s="19">
        <f>21602</f>
        <v>21602</v>
      </c>
      <c r="L26" s="19">
        <f>234848</f>
        <v>234848</v>
      </c>
      <c r="M26" s="19"/>
      <c r="N26" s="19">
        <f>1614</f>
        <v>1614</v>
      </c>
      <c r="O26" s="19">
        <f>3474</f>
        <v>3474</v>
      </c>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row>
    <row r="27" spans="1:256" ht="15">
      <c r="A27" s="6" t="s">
        <v>36</v>
      </c>
      <c r="B27" s="19">
        <f>35032</f>
        <v>35032</v>
      </c>
      <c r="C27" s="19"/>
      <c r="D27" s="19">
        <v>167964</v>
      </c>
      <c r="E27" s="19">
        <f>19840</f>
        <v>19840</v>
      </c>
      <c r="F27" s="19">
        <v>222836</v>
      </c>
      <c r="G27" s="19"/>
      <c r="H27" s="19">
        <f>73318</f>
        <v>73318</v>
      </c>
      <c r="I27" s="19"/>
      <c r="J27" s="19">
        <v>173590</v>
      </c>
      <c r="K27" s="19">
        <f>23424</f>
        <v>23424</v>
      </c>
      <c r="L27" s="19">
        <f>275332</f>
        <v>275332</v>
      </c>
      <c r="M27" s="19"/>
      <c r="N27" s="19">
        <f>1508</f>
        <v>1508</v>
      </c>
      <c r="O27" s="19">
        <f>3346</f>
        <v>3346</v>
      </c>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row>
    <row r="28" spans="1:256" ht="15">
      <c r="A28" s="6" t="s">
        <v>37</v>
      </c>
      <c r="B28" s="19">
        <f>35717</f>
        <v>35717</v>
      </c>
      <c r="C28" s="19"/>
      <c r="D28" s="19">
        <v>170963</v>
      </c>
      <c r="E28" s="19">
        <f>20819</f>
        <v>20819</v>
      </c>
      <c r="F28" s="19">
        <v>227449</v>
      </c>
      <c r="G28" s="19"/>
      <c r="H28" s="19">
        <f>87315</f>
        <v>87315</v>
      </c>
      <c r="I28" s="19"/>
      <c r="J28" s="19">
        <v>193371</v>
      </c>
      <c r="K28" s="19">
        <f>25770</f>
        <v>25770</v>
      </c>
      <c r="L28" s="19">
        <f>306456</f>
        <v>306456</v>
      </c>
      <c r="M28" s="19"/>
      <c r="N28" s="19">
        <f>1472</f>
        <v>1472</v>
      </c>
      <c r="O28" s="19">
        <f>3412</f>
        <v>3412</v>
      </c>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row>
    <row r="29" spans="1:256" ht="15">
      <c r="A29" s="6" t="s">
        <v>38</v>
      </c>
      <c r="B29" s="19">
        <f>43585</f>
        <v>43585</v>
      </c>
      <c r="C29" s="19"/>
      <c r="D29" s="19">
        <v>192732</v>
      </c>
      <c r="E29" s="19">
        <f>21123</f>
        <v>21123</v>
      </c>
      <c r="F29" s="19">
        <v>257441</v>
      </c>
      <c r="G29" s="19"/>
      <c r="H29" s="19">
        <f>92007</f>
        <v>92007</v>
      </c>
      <c r="I29" s="19"/>
      <c r="J29" s="19">
        <v>212785</v>
      </c>
      <c r="K29" s="19">
        <f>25575</f>
        <v>25575</v>
      </c>
      <c r="L29" s="19">
        <f>330367</f>
        <v>330367</v>
      </c>
      <c r="M29" s="19"/>
      <c r="N29" s="19" t="s">
        <v>39</v>
      </c>
      <c r="O29" s="19" t="s">
        <v>40</v>
      </c>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row>
    <row r="30" spans="1:256" ht="15">
      <c r="A30" s="6" t="s">
        <v>41</v>
      </c>
      <c r="B30" s="19">
        <f>51376</f>
        <v>51376</v>
      </c>
      <c r="C30" s="19"/>
      <c r="D30" s="19">
        <v>209456</v>
      </c>
      <c r="E30" s="19">
        <f>20311</f>
        <v>20311</v>
      </c>
      <c r="F30" s="19">
        <v>281143</v>
      </c>
      <c r="G30" s="19"/>
      <c r="H30" s="19">
        <f>88834</f>
        <v>88834</v>
      </c>
      <c r="I30" s="19"/>
      <c r="J30" s="19">
        <v>224975</v>
      </c>
      <c r="K30" s="19">
        <f>25680</f>
        <v>25680</v>
      </c>
      <c r="L30" s="19">
        <f>339490</f>
        <v>339490</v>
      </c>
      <c r="M30" s="19"/>
      <c r="N30" s="19">
        <f>1684</f>
        <v>1684</v>
      </c>
      <c r="O30" s="19">
        <f>4085</f>
        <v>4085</v>
      </c>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row>
    <row r="31" spans="1:256" ht="15">
      <c r="A31" s="6" t="s">
        <v>42</v>
      </c>
      <c r="B31" s="19">
        <f>45024</f>
        <v>45024</v>
      </c>
      <c r="C31" s="19"/>
      <c r="D31" s="19">
        <v>220065</v>
      </c>
      <c r="E31" s="19">
        <f>20590</f>
        <v>20590</v>
      </c>
      <c r="F31" s="19">
        <v>285679</v>
      </c>
      <c r="G31" s="19"/>
      <c r="H31" s="19">
        <f>76888</f>
        <v>76888</v>
      </c>
      <c r="I31" s="19"/>
      <c r="J31" s="19">
        <v>233694</v>
      </c>
      <c r="K31" s="19">
        <f>26941</f>
        <v>26941</v>
      </c>
      <c r="L31" s="19">
        <f>337524</f>
        <v>337524</v>
      </c>
      <c r="M31" s="19"/>
      <c r="N31" s="19">
        <f>1676</f>
        <v>1676</v>
      </c>
      <c r="O31" s="19">
        <f>4102</f>
        <v>4102</v>
      </c>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row>
    <row r="32" spans="1:256" ht="15">
      <c r="A32" s="6" t="s">
        <v>43</v>
      </c>
      <c r="B32" s="19">
        <f>37509</f>
        <v>37509</v>
      </c>
      <c r="C32" s="19"/>
      <c r="D32" s="19">
        <v>241398</v>
      </c>
      <c r="E32" s="19">
        <f>21051</f>
        <v>21051</v>
      </c>
      <c r="F32" s="19">
        <v>299958</v>
      </c>
      <c r="G32" s="19"/>
      <c r="H32" s="19">
        <v>102061</v>
      </c>
      <c r="I32" s="19"/>
      <c r="J32" s="19">
        <v>265476</v>
      </c>
      <c r="K32" s="19">
        <f>25825</f>
        <v>25825</v>
      </c>
      <c r="L32" s="19">
        <f>393362</f>
        <v>393362</v>
      </c>
      <c r="M32" s="19"/>
      <c r="N32" s="19">
        <f>1795</f>
        <v>1795</v>
      </c>
      <c r="O32" s="19">
        <f>4645</f>
        <v>4645</v>
      </c>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row>
    <row r="33" spans="1:256" ht="15">
      <c r="A33" s="6" t="s">
        <v>44</v>
      </c>
      <c r="B33" s="19">
        <f>46998</f>
        <v>46998</v>
      </c>
      <c r="C33" s="19"/>
      <c r="D33" s="19">
        <v>257441</v>
      </c>
      <c r="E33" s="19">
        <f>20551</f>
        <v>20551</v>
      </c>
      <c r="F33" s="19">
        <v>324989</v>
      </c>
      <c r="G33" s="19"/>
      <c r="H33" s="19">
        <v>143470</v>
      </c>
      <c r="I33" s="19"/>
      <c r="J33" s="19">
        <v>286083</v>
      </c>
      <c r="K33" s="19">
        <f>26287</f>
        <v>26287</v>
      </c>
      <c r="L33" s="19">
        <f>455840</f>
        <v>455840</v>
      </c>
      <c r="M33" s="19"/>
      <c r="N33" s="19">
        <f>1759</f>
        <v>1759</v>
      </c>
      <c r="O33" s="19">
        <f>5574</f>
        <v>5574</v>
      </c>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row>
    <row r="34" spans="1:256" ht="15">
      <c r="A34" s="6" t="s">
        <v>45</v>
      </c>
      <c r="B34" s="19">
        <f>45719</f>
        <v>45719</v>
      </c>
      <c r="C34" s="19"/>
      <c r="D34" s="19">
        <v>269022</v>
      </c>
      <c r="E34" s="19">
        <f>19777</f>
        <v>19777</v>
      </c>
      <c r="F34" s="19">
        <v>334519</v>
      </c>
      <c r="G34" s="19"/>
      <c r="H34" s="19">
        <v>143198</v>
      </c>
      <c r="I34" s="19"/>
      <c r="J34" s="19">
        <v>277669</v>
      </c>
      <c r="K34" s="19">
        <f>27103</f>
        <v>27103</v>
      </c>
      <c r="L34" s="19">
        <f>447970</f>
        <v>447970</v>
      </c>
      <c r="M34" s="19"/>
      <c r="N34" s="19">
        <f>1639</f>
        <v>1639</v>
      </c>
      <c r="O34" s="19">
        <f>5338</f>
        <v>5338</v>
      </c>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row>
    <row r="35" spans="1:256" ht="15">
      <c r="A35" s="6" t="s">
        <v>46</v>
      </c>
      <c r="B35" s="19">
        <f>39749</f>
        <v>39749</v>
      </c>
      <c r="C35" s="19"/>
      <c r="D35" s="19">
        <v>281576</v>
      </c>
      <c r="E35" s="19">
        <f>20622</f>
        <v>20622</v>
      </c>
      <c r="F35" s="19">
        <v>341947</v>
      </c>
      <c r="G35" s="19"/>
      <c r="H35" s="19">
        <v>178950</v>
      </c>
      <c r="I35" s="19"/>
      <c r="J35" s="19">
        <v>302608</v>
      </c>
      <c r="K35" s="19">
        <f>29374</f>
        <v>29374</v>
      </c>
      <c r="L35" s="19">
        <f>510932</f>
        <v>510932</v>
      </c>
      <c r="M35" s="19"/>
      <c r="N35" s="19">
        <f>1754</f>
        <v>1754</v>
      </c>
      <c r="O35" s="19">
        <f>5937</f>
        <v>5937</v>
      </c>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row>
    <row r="36" spans="1:256" ht="15">
      <c r="A36" s="6" t="s">
        <v>47</v>
      </c>
      <c r="B36" s="19">
        <f>45045</f>
        <v>45045</v>
      </c>
      <c r="C36" s="19"/>
      <c r="D36" s="19">
        <v>289862</v>
      </c>
      <c r="E36" s="19">
        <f>21238</f>
        <v>21238</v>
      </c>
      <c r="F36" s="19">
        <v>356145</v>
      </c>
      <c r="G36" s="19"/>
      <c r="H36" s="19">
        <v>218712</v>
      </c>
      <c r="I36" s="19"/>
      <c r="J36" s="19">
        <v>320910</v>
      </c>
      <c r="K36" s="19">
        <f>30626</f>
        <v>30626</v>
      </c>
      <c r="L36" s="19">
        <f>570247</f>
        <v>570247</v>
      </c>
      <c r="M36" s="19"/>
      <c r="N36" s="19">
        <f>1788</f>
        <v>1788</v>
      </c>
      <c r="O36" s="19">
        <f>7239</f>
        <v>7239</v>
      </c>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row>
    <row r="37" spans="1:256" ht="15">
      <c r="A37" s="6" t="s">
        <v>48</v>
      </c>
      <c r="B37" s="19">
        <f>69277</f>
        <v>69277</v>
      </c>
      <c r="C37" s="19"/>
      <c r="D37" s="19">
        <v>357805</v>
      </c>
      <c r="E37" s="19">
        <f>24760</f>
        <v>24760</v>
      </c>
      <c r="F37" s="19">
        <v>451843</v>
      </c>
      <c r="G37" s="19"/>
      <c r="H37" s="19">
        <v>259745</v>
      </c>
      <c r="I37" s="19"/>
      <c r="J37" s="19">
        <v>404382</v>
      </c>
      <c r="K37" s="19">
        <f>34566</f>
        <v>34566</v>
      </c>
      <c r="L37" s="19">
        <f>698692</f>
        <v>698692</v>
      </c>
      <c r="M37" s="19"/>
      <c r="N37" s="19">
        <f>1631</f>
        <v>1631</v>
      </c>
      <c r="O37" s="19">
        <f>7225</f>
        <v>7225</v>
      </c>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row>
    <row r="38" spans="1:256" ht="15">
      <c r="A38" s="6" t="s">
        <v>49</v>
      </c>
      <c r="B38" s="19">
        <v>100616</v>
      </c>
      <c r="C38" s="19"/>
      <c r="D38" s="19">
        <v>402081</v>
      </c>
      <c r="E38" s="19">
        <f>26850</f>
        <v>26850</v>
      </c>
      <c r="F38" s="19">
        <v>529547</v>
      </c>
      <c r="G38" s="19"/>
      <c r="H38" s="19">
        <v>226154</v>
      </c>
      <c r="I38" s="19"/>
      <c r="J38" s="19">
        <v>379933</v>
      </c>
      <c r="K38" s="19">
        <f>31699</f>
        <v>31699</v>
      </c>
      <c r="L38" s="19">
        <f>637786</f>
        <v>637786</v>
      </c>
      <c r="M38" s="19"/>
      <c r="N38" s="19">
        <f>1611</f>
        <v>1611</v>
      </c>
      <c r="O38" s="19">
        <f>6820</f>
        <v>6820</v>
      </c>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row>
    <row r="39" spans="1:256" ht="15">
      <c r="A39" s="6" t="s">
        <v>50</v>
      </c>
      <c r="B39" s="19">
        <f>76262</f>
        <v>76262</v>
      </c>
      <c r="C39" s="19"/>
      <c r="D39" s="19">
        <v>503497</v>
      </c>
      <c r="E39" s="19">
        <f>27882</f>
        <v>27882</v>
      </c>
      <c r="F39" s="19">
        <v>607641</v>
      </c>
      <c r="G39" s="19"/>
      <c r="H39" s="19">
        <v>250580</v>
      </c>
      <c r="I39" s="19"/>
      <c r="J39" s="19">
        <v>441391</v>
      </c>
      <c r="K39" s="19">
        <f>36280</f>
        <v>36280</v>
      </c>
      <c r="L39" s="19">
        <f>728251</f>
        <v>728251</v>
      </c>
      <c r="M39" s="19"/>
      <c r="N39" s="19">
        <f>1536</f>
        <v>1536</v>
      </c>
      <c r="O39" s="19">
        <f>6733</f>
        <v>6733</v>
      </c>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row>
    <row r="40" spans="1:256" ht="15">
      <c r="A40" s="6" t="s">
        <v>51</v>
      </c>
      <c r="B40" s="19">
        <f>94622</f>
        <v>94622</v>
      </c>
      <c r="C40" s="19"/>
      <c r="D40" s="19">
        <v>564231</v>
      </c>
      <c r="E40" s="19">
        <f>30909</f>
        <v>30909</v>
      </c>
      <c r="F40" s="19">
        <v>689762</v>
      </c>
      <c r="G40" s="19"/>
      <c r="H40" s="19">
        <v>338657</v>
      </c>
      <c r="I40" s="19"/>
      <c r="J40" s="19">
        <v>485850</v>
      </c>
      <c r="K40" s="19">
        <f>35160</f>
        <v>35160</v>
      </c>
      <c r="L40" s="19">
        <f>859667</f>
        <v>859667</v>
      </c>
      <c r="M40" s="19"/>
      <c r="N40" s="19">
        <f>1592</f>
        <v>1592</v>
      </c>
      <c r="O40" s="19">
        <f>7258</f>
        <v>7258</v>
      </c>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row>
    <row r="41" spans="1:256" ht="15">
      <c r="A41" s="6" t="s">
        <v>52</v>
      </c>
      <c r="B41" s="19">
        <v>115778</v>
      </c>
      <c r="C41" s="19"/>
      <c r="D41" s="19">
        <v>594793</v>
      </c>
      <c r="E41" s="19">
        <f>39388</f>
        <v>39388</v>
      </c>
      <c r="F41" s="19">
        <v>749960</v>
      </c>
      <c r="G41" s="19"/>
      <c r="H41" s="19">
        <v>381942</v>
      </c>
      <c r="I41" s="19"/>
      <c r="J41" s="19">
        <v>594441</v>
      </c>
      <c r="K41" s="19">
        <f>38206</f>
        <v>38206</v>
      </c>
      <c r="L41" s="19">
        <v>1014589</v>
      </c>
      <c r="M41" s="19"/>
      <c r="N41" s="19">
        <f>1528</f>
        <v>1528</v>
      </c>
      <c r="O41" s="19">
        <f>6992</f>
        <v>6992</v>
      </c>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row>
    <row r="42" spans="1:256" ht="15">
      <c r="A42" s="6"/>
      <c r="B42" s="19" t="s">
        <v>23</v>
      </c>
      <c r="C42" s="19"/>
      <c r="D42" s="19" t="s">
        <v>23</v>
      </c>
      <c r="E42" s="19" t="s">
        <v>25</v>
      </c>
      <c r="F42" s="19" t="s">
        <v>23</v>
      </c>
      <c r="G42" s="19"/>
      <c r="H42" s="19" t="s">
        <v>23</v>
      </c>
      <c r="I42" s="19"/>
      <c r="J42" s="19" t="s">
        <v>23</v>
      </c>
      <c r="K42" s="19" t="s">
        <v>26</v>
      </c>
      <c r="L42" s="19" t="s">
        <v>24</v>
      </c>
      <c r="M42" s="19"/>
      <c r="N42" s="19"/>
      <c r="O42" s="19"/>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row>
    <row r="43" spans="1:256" ht="15">
      <c r="A43" s="6" t="s">
        <v>53</v>
      </c>
      <c r="B43" s="19">
        <v>140652</v>
      </c>
      <c r="C43" s="19"/>
      <c r="D43" s="19">
        <v>621548</v>
      </c>
      <c r="E43" s="19">
        <f>74578</f>
        <v>74578</v>
      </c>
      <c r="F43" s="19">
        <v>836829</v>
      </c>
      <c r="G43" s="19"/>
      <c r="H43" s="19">
        <v>513286</v>
      </c>
      <c r="I43" s="19"/>
      <c r="J43" s="19">
        <v>627186</v>
      </c>
      <c r="K43" s="19">
        <f>39727</f>
        <v>39727</v>
      </c>
      <c r="L43" s="19">
        <v>1180199</v>
      </c>
      <c r="M43" s="19"/>
      <c r="N43" s="19" t="s">
        <v>18</v>
      </c>
      <c r="O43" s="19" t="s">
        <v>54</v>
      </c>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row>
    <row r="44" spans="1:256" ht="15">
      <c r="A44" s="6"/>
      <c r="B44" s="19"/>
      <c r="C44" s="19"/>
      <c r="D44" s="19"/>
      <c r="E44" s="19"/>
      <c r="F44" s="19"/>
      <c r="G44" s="19"/>
      <c r="H44" s="19"/>
      <c r="I44" s="19"/>
      <c r="J44" s="19"/>
      <c r="K44" s="19"/>
      <c r="L44" s="19"/>
      <c r="M44" s="19"/>
      <c r="N44" s="19"/>
      <c r="O44" s="19"/>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row>
    <row r="45" spans="1:256" ht="15">
      <c r="A45" s="6" t="s">
        <v>55</v>
      </c>
      <c r="B45" s="19">
        <v>179780</v>
      </c>
      <c r="C45" s="19"/>
      <c r="D45" s="19">
        <v>935584</v>
      </c>
      <c r="E45" s="19">
        <v>53481</v>
      </c>
      <c r="F45" s="19">
        <v>1168845</v>
      </c>
      <c r="G45" s="19"/>
      <c r="H45" s="19" t="s">
        <v>56</v>
      </c>
      <c r="I45" s="19"/>
      <c r="J45" s="19">
        <v>772531</v>
      </c>
      <c r="K45" s="19">
        <v>32141</v>
      </c>
      <c r="L45" s="19">
        <v>1451499</v>
      </c>
      <c r="M45" s="19"/>
      <c r="N45" s="19" t="s">
        <v>18</v>
      </c>
      <c r="O45" s="19" t="s">
        <v>18</v>
      </c>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row>
    <row r="46" spans="1:256" ht="15">
      <c r="A46" s="6" t="s">
        <v>57</v>
      </c>
      <c r="B46" s="19">
        <v>172456</v>
      </c>
      <c r="C46" s="19"/>
      <c r="D46" s="19">
        <v>973685</v>
      </c>
      <c r="E46" s="19">
        <v>60922</v>
      </c>
      <c r="F46" s="19">
        <v>1207063</v>
      </c>
      <c r="G46" s="19"/>
      <c r="H46" s="19" t="s">
        <v>58</v>
      </c>
      <c r="I46" s="19"/>
      <c r="J46" s="19">
        <v>837042</v>
      </c>
      <c r="K46" s="19">
        <v>45171</v>
      </c>
      <c r="L46" s="19">
        <v>1540226</v>
      </c>
      <c r="M46" s="19"/>
      <c r="N46" s="19" t="s">
        <v>18</v>
      </c>
      <c r="O46" s="19" t="s">
        <v>20</v>
      </c>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row>
    <row r="47" spans="1:256" ht="15">
      <c r="A47" s="6" t="s">
        <v>59</v>
      </c>
      <c r="B47" s="19">
        <v>166032</v>
      </c>
      <c r="C47" s="19"/>
      <c r="D47" s="19">
        <v>1031330</v>
      </c>
      <c r="E47" s="19">
        <v>61187</v>
      </c>
      <c r="F47" s="19">
        <v>1258548</v>
      </c>
      <c r="G47" s="19"/>
      <c r="H47" s="19" t="s">
        <v>60</v>
      </c>
      <c r="I47" s="19"/>
      <c r="J47" s="19">
        <v>879421</v>
      </c>
      <c r="K47" s="19">
        <v>47525</v>
      </c>
      <c r="L47" s="19">
        <v>1574562</v>
      </c>
      <c r="M47" s="19"/>
      <c r="N47" s="19" t="s">
        <v>18</v>
      </c>
      <c r="O47" s="19" t="s">
        <v>18</v>
      </c>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row>
    <row r="48" spans="1:256" ht="15">
      <c r="A48" s="6" t="s">
        <v>61</v>
      </c>
      <c r="B48" s="19">
        <v>179819</v>
      </c>
      <c r="C48" s="19"/>
      <c r="D48" s="19">
        <v>1084743</v>
      </c>
      <c r="E48" s="19">
        <v>74552</v>
      </c>
      <c r="F48" s="19">
        <v>1339113</v>
      </c>
      <c r="G48" s="19"/>
      <c r="H48" s="19" t="s">
        <v>62</v>
      </c>
      <c r="I48" s="19"/>
      <c r="J48" s="19">
        <v>904983</v>
      </c>
      <c r="K48" s="19">
        <v>50833</v>
      </c>
      <c r="L48" s="19">
        <v>1728949</v>
      </c>
      <c r="M48" s="19"/>
      <c r="N48" s="19" t="s">
        <v>18</v>
      </c>
      <c r="O48" s="19" t="s">
        <v>18</v>
      </c>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row>
    <row r="49" spans="1:256" ht="15">
      <c r="A49" s="6" t="s">
        <v>63</v>
      </c>
      <c r="B49" s="19">
        <v>202786</v>
      </c>
      <c r="C49" s="19"/>
      <c r="D49" s="19">
        <v>1189170</v>
      </c>
      <c r="E49" s="19">
        <v>69735</v>
      </c>
      <c r="F49" s="19">
        <v>1461691</v>
      </c>
      <c r="G49" s="19"/>
      <c r="H49" s="19" t="s">
        <v>64</v>
      </c>
      <c r="I49" s="19"/>
      <c r="J49" s="19">
        <v>1075077</v>
      </c>
      <c r="K49" s="19">
        <v>57768</v>
      </c>
      <c r="L49" s="19">
        <v>1907153</v>
      </c>
      <c r="M49" s="19"/>
      <c r="N49" s="19" t="s">
        <v>18</v>
      </c>
      <c r="O49" s="19" t="s">
        <v>18</v>
      </c>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row>
    <row r="50" spans="1:256" ht="15">
      <c r="A50" s="6" t="s">
        <v>65</v>
      </c>
      <c r="B50" s="19">
        <v>389613</v>
      </c>
      <c r="C50" s="19"/>
      <c r="D50" s="19">
        <v>1414304</v>
      </c>
      <c r="E50" s="19">
        <v>91352</v>
      </c>
      <c r="F50" s="19">
        <v>1895269</v>
      </c>
      <c r="G50" s="19"/>
      <c r="H50" s="19" t="s">
        <v>66</v>
      </c>
      <c r="I50" s="19"/>
      <c r="J50" s="19">
        <v>1184681</v>
      </c>
      <c r="K50" s="19">
        <v>67084</v>
      </c>
      <c r="L50" s="19">
        <v>2093077</v>
      </c>
      <c r="M50" s="19"/>
      <c r="N50" s="19" t="s">
        <v>67</v>
      </c>
      <c r="O50" s="19" t="s">
        <v>68</v>
      </c>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row>
    <row r="51" spans="1:256" ht="15">
      <c r="A51" s="6" t="s">
        <v>69</v>
      </c>
      <c r="B51" s="19">
        <v>299398</v>
      </c>
      <c r="C51" s="19"/>
      <c r="D51" s="19" t="s">
        <v>70</v>
      </c>
      <c r="E51" s="19" t="s">
        <v>70</v>
      </c>
      <c r="F51" s="19" t="s">
        <v>70</v>
      </c>
      <c r="G51" s="19"/>
      <c r="H51" s="19" t="s">
        <v>71</v>
      </c>
      <c r="I51" s="19"/>
      <c r="J51" s="19">
        <v>1182102</v>
      </c>
      <c r="K51" s="19">
        <v>74755</v>
      </c>
      <c r="L51" s="19">
        <v>2156868</v>
      </c>
      <c r="M51" s="19"/>
      <c r="N51" s="19" t="s">
        <v>72</v>
      </c>
      <c r="O51" s="19">
        <f>15403</f>
        <v>15403</v>
      </c>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row>
    <row r="52" spans="1:256" ht="15">
      <c r="A52" s="6" t="s">
        <v>73</v>
      </c>
      <c r="B52" s="19">
        <v>289374</v>
      </c>
      <c r="C52" s="19"/>
      <c r="D52" s="19" t="s">
        <v>18</v>
      </c>
      <c r="E52" s="19" t="s">
        <v>18</v>
      </c>
      <c r="F52" s="19" t="s">
        <v>18</v>
      </c>
      <c r="G52" s="19"/>
      <c r="H52" s="19">
        <v>1094664</v>
      </c>
      <c r="I52" s="19"/>
      <c r="J52" s="19">
        <v>1322047</v>
      </c>
      <c r="K52" s="19">
        <v>84175</v>
      </c>
      <c r="L52" s="19">
        <v>2500886</v>
      </c>
      <c r="M52" s="19"/>
      <c r="N52" s="19" t="s">
        <v>74</v>
      </c>
      <c r="O52" s="19">
        <f>18810</f>
        <v>18810</v>
      </c>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row>
    <row r="53" spans="1:256" ht="15">
      <c r="A53" s="6" t="s">
        <v>75</v>
      </c>
      <c r="B53" s="19">
        <v>282415</v>
      </c>
      <c r="C53" s="19"/>
      <c r="D53" s="19" t="s">
        <v>18</v>
      </c>
      <c r="E53" s="19" t="s">
        <v>18</v>
      </c>
      <c r="F53" s="19" t="s">
        <v>18</v>
      </c>
      <c r="G53" s="19"/>
      <c r="H53" s="19">
        <v>1221955</v>
      </c>
      <c r="I53" s="19"/>
      <c r="J53" s="19">
        <v>1312699</v>
      </c>
      <c r="K53" s="19">
        <v>93523</v>
      </c>
      <c r="L53" s="19">
        <v>2628177</v>
      </c>
      <c r="M53" s="19"/>
      <c r="N53" s="19" t="s">
        <v>76</v>
      </c>
      <c r="O53" s="19">
        <f>18317</f>
        <v>18317</v>
      </c>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row>
    <row r="54" spans="1:256" ht="15">
      <c r="A54" s="6" t="s">
        <v>77</v>
      </c>
      <c r="B54" s="19">
        <v>348551</v>
      </c>
      <c r="C54" s="19"/>
      <c r="D54" s="19" t="s">
        <v>18</v>
      </c>
      <c r="E54" s="19" t="s">
        <v>18</v>
      </c>
      <c r="F54" s="19" t="s">
        <v>18</v>
      </c>
      <c r="G54" s="19"/>
      <c r="H54" s="19">
        <v>1438727</v>
      </c>
      <c r="I54" s="19"/>
      <c r="J54" s="19" t="s">
        <v>18</v>
      </c>
      <c r="K54" s="19">
        <v>149225</v>
      </c>
      <c r="L54" s="19" t="s">
        <v>18</v>
      </c>
      <c r="M54" s="19"/>
      <c r="N54" s="19" t="s">
        <v>78</v>
      </c>
      <c r="O54" s="19">
        <f>18706</f>
        <v>18706</v>
      </c>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row>
    <row r="55" spans="1:256" ht="15">
      <c r="A55" s="6" t="s">
        <v>79</v>
      </c>
      <c r="B55" s="19">
        <v>352126</v>
      </c>
      <c r="C55" s="19"/>
      <c r="D55" s="19" t="s">
        <v>18</v>
      </c>
      <c r="E55" s="19" t="s">
        <v>18</v>
      </c>
      <c r="F55" s="19" t="s">
        <v>18</v>
      </c>
      <c r="G55" s="19"/>
      <c r="H55" s="19">
        <v>1422558</v>
      </c>
      <c r="I55" s="19"/>
      <c r="J55" s="19" t="s">
        <v>18</v>
      </c>
      <c r="K55" s="19">
        <v>112212</v>
      </c>
      <c r="L55" s="19" t="s">
        <v>18</v>
      </c>
      <c r="M55" s="19"/>
      <c r="N55" s="19" t="s">
        <v>18</v>
      </c>
      <c r="O55" s="19" t="s">
        <v>18</v>
      </c>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row>
    <row r="56" spans="1:256" ht="15">
      <c r="A56" s="6" t="s">
        <v>80</v>
      </c>
      <c r="B56" s="19">
        <v>298761</v>
      </c>
      <c r="C56" s="19"/>
      <c r="D56" s="19" t="s">
        <v>18</v>
      </c>
      <c r="E56" s="19" t="s">
        <v>18</v>
      </c>
      <c r="F56" s="19" t="s">
        <v>18</v>
      </c>
      <c r="G56" s="19"/>
      <c r="H56" s="19">
        <v>1341242</v>
      </c>
      <c r="I56" s="19"/>
      <c r="J56" s="19" t="s">
        <v>18</v>
      </c>
      <c r="K56" s="19">
        <f>95641</f>
        <v>95641</v>
      </c>
      <c r="L56" s="19" t="s">
        <v>18</v>
      </c>
      <c r="M56" s="19"/>
      <c r="N56" s="19" t="s">
        <v>18</v>
      </c>
      <c r="O56" s="19" t="s">
        <v>18</v>
      </c>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c r="IV56" s="5"/>
    </row>
    <row r="57" spans="1:256" ht="15">
      <c r="A57" s="6" t="s">
        <v>81</v>
      </c>
      <c r="B57" s="19">
        <v>286615</v>
      </c>
      <c r="C57" s="19"/>
      <c r="D57" s="19" t="s">
        <v>18</v>
      </c>
      <c r="E57" s="19" t="s">
        <v>18</v>
      </c>
      <c r="F57" s="19" t="s">
        <v>18</v>
      </c>
      <c r="G57" s="19"/>
      <c r="H57" s="19">
        <v>1439177</v>
      </c>
      <c r="I57" s="19"/>
      <c r="J57" s="19" t="s">
        <v>18</v>
      </c>
      <c r="K57" s="19">
        <f>98304</f>
        <v>98304</v>
      </c>
      <c r="L57" s="19" t="s">
        <v>18</v>
      </c>
      <c r="M57" s="19"/>
      <c r="N57" s="19" t="s">
        <v>18</v>
      </c>
      <c r="O57" s="19" t="s">
        <v>18</v>
      </c>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row>
    <row r="58" spans="1:256" ht="15">
      <c r="A58" s="6" t="s">
        <v>82</v>
      </c>
      <c r="B58" s="19">
        <v>334247</v>
      </c>
      <c r="C58" s="19"/>
      <c r="D58" s="19" t="s">
        <v>18</v>
      </c>
      <c r="E58" s="19" t="s">
        <v>18</v>
      </c>
      <c r="F58" s="19" t="s">
        <v>18</v>
      </c>
      <c r="G58" s="19"/>
      <c r="H58" s="19">
        <v>1522218</v>
      </c>
      <c r="I58" s="19"/>
      <c r="J58" s="19" t="s">
        <v>18</v>
      </c>
      <c r="K58" s="19" t="s">
        <v>20</v>
      </c>
      <c r="L58" s="19" t="s">
        <v>18</v>
      </c>
      <c r="M58" s="19"/>
      <c r="N58" s="19" t="s">
        <v>18</v>
      </c>
      <c r="O58" s="19" t="s">
        <v>18</v>
      </c>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row>
    <row r="59" spans="1:256" ht="15">
      <c r="A59" s="6" t="s">
        <v>83</v>
      </c>
      <c r="B59" s="19">
        <v>447561</v>
      </c>
      <c r="C59" s="19"/>
      <c r="D59" s="19" t="s">
        <v>18</v>
      </c>
      <c r="E59" s="19" t="s">
        <v>18</v>
      </c>
      <c r="F59" s="19" t="s">
        <v>18</v>
      </c>
      <c r="G59" s="19"/>
      <c r="H59" s="19">
        <v>1574933</v>
      </c>
      <c r="I59" s="19"/>
      <c r="J59" s="19" t="s">
        <v>18</v>
      </c>
      <c r="K59" s="19" t="s">
        <v>20</v>
      </c>
      <c r="L59" s="19" t="s">
        <v>18</v>
      </c>
      <c r="M59" s="19"/>
      <c r="N59" s="19" t="s">
        <v>18</v>
      </c>
      <c r="O59" s="19" t="s">
        <v>18</v>
      </c>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c r="IV59" s="5"/>
    </row>
    <row r="60" spans="1:256" ht="15">
      <c r="A60" s="6" t="s">
        <v>84</v>
      </c>
      <c r="B60" s="19">
        <v>341841</v>
      </c>
      <c r="C60" s="19"/>
      <c r="D60" s="19" t="s">
        <v>18</v>
      </c>
      <c r="E60" s="19" t="s">
        <v>18</v>
      </c>
      <c r="F60" s="19" t="s">
        <v>18</v>
      </c>
      <c r="G60" s="19"/>
      <c r="H60" s="19">
        <v>1611732</v>
      </c>
      <c r="I60" s="19"/>
      <c r="J60" s="19" t="s">
        <v>18</v>
      </c>
      <c r="K60" s="19" t="s">
        <v>18</v>
      </c>
      <c r="L60" s="19" t="s">
        <v>18</v>
      </c>
      <c r="M60" s="19"/>
      <c r="N60" s="19" t="s">
        <v>18</v>
      </c>
      <c r="O60" s="19" t="s">
        <v>18</v>
      </c>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c r="IU60" s="5"/>
      <c r="IV60" s="5"/>
    </row>
    <row r="61" spans="1:256" ht="15">
      <c r="A61" s="6" t="s">
        <v>85</v>
      </c>
      <c r="B61" s="19">
        <v>351387</v>
      </c>
      <c r="C61" s="19"/>
      <c r="D61" s="19" t="s">
        <v>18</v>
      </c>
      <c r="E61" s="19" t="s">
        <v>18</v>
      </c>
      <c r="F61" s="19" t="s">
        <v>18</v>
      </c>
      <c r="G61" s="19"/>
      <c r="H61" s="19">
        <v>1619711</v>
      </c>
      <c r="I61" s="19"/>
      <c r="J61" s="19" t="s">
        <v>18</v>
      </c>
      <c r="K61" s="19" t="s">
        <v>18</v>
      </c>
      <c r="L61" s="19" t="s">
        <v>18</v>
      </c>
      <c r="M61" s="19"/>
      <c r="N61" s="19" t="s">
        <v>18</v>
      </c>
      <c r="O61" s="19" t="s">
        <v>18</v>
      </c>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c r="IV61" s="5"/>
    </row>
    <row r="62" spans="1:256" ht="15">
      <c r="A62" s="6" t="s">
        <v>86</v>
      </c>
      <c r="B62" s="19">
        <v>395615</v>
      </c>
      <c r="C62" s="19"/>
      <c r="D62" s="19" t="s">
        <v>18</v>
      </c>
      <c r="E62" s="19" t="s">
        <v>18</v>
      </c>
      <c r="F62" s="19" t="s">
        <v>18</v>
      </c>
      <c r="G62" s="19"/>
      <c r="H62" s="19">
        <v>1708322</v>
      </c>
      <c r="I62" s="19"/>
      <c r="J62" s="19" t="s">
        <v>18</v>
      </c>
      <c r="K62" s="19" t="s">
        <v>18</v>
      </c>
      <c r="L62" s="19" t="s">
        <v>18</v>
      </c>
      <c r="M62" s="19"/>
      <c r="N62" s="19" t="s">
        <v>18</v>
      </c>
      <c r="O62" s="19" t="s">
        <v>18</v>
      </c>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row>
    <row r="63" spans="1:256" ht="15">
      <c r="A63" s="6" t="s">
        <v>87</v>
      </c>
      <c r="B63" s="19">
        <v>385405</v>
      </c>
      <c r="C63" s="19"/>
      <c r="D63" s="19" t="s">
        <v>18</v>
      </c>
      <c r="E63" s="19" t="s">
        <v>18</v>
      </c>
      <c r="F63" s="19" t="s">
        <v>18</v>
      </c>
      <c r="G63" s="19"/>
      <c r="H63" s="19">
        <v>2136171</v>
      </c>
      <c r="I63" s="19"/>
      <c r="J63" s="19" t="s">
        <v>18</v>
      </c>
      <c r="K63" s="19" t="s">
        <v>18</v>
      </c>
      <c r="L63" s="19" t="s">
        <v>18</v>
      </c>
      <c r="M63" s="19"/>
      <c r="N63" s="19" t="s">
        <v>18</v>
      </c>
      <c r="O63" s="19" t="s">
        <v>18</v>
      </c>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c r="IV63" s="5"/>
    </row>
    <row r="64" spans="1:256" ht="15">
      <c r="A64" s="6" t="s">
        <v>88</v>
      </c>
      <c r="B64" s="19">
        <v>406793</v>
      </c>
      <c r="C64" s="19"/>
      <c r="D64" s="19" t="s">
        <v>18</v>
      </c>
      <c r="E64" s="19" t="s">
        <v>18</v>
      </c>
      <c r="F64" s="19" t="s">
        <v>18</v>
      </c>
      <c r="G64" s="19"/>
      <c r="H64" s="19">
        <v>2019182</v>
      </c>
      <c r="I64" s="19"/>
      <c r="J64" s="19" t="s">
        <v>18</v>
      </c>
      <c r="K64" s="19" t="s">
        <v>18</v>
      </c>
      <c r="L64" s="19" t="s">
        <v>18</v>
      </c>
      <c r="M64" s="19"/>
      <c r="N64" s="19" t="s">
        <v>18</v>
      </c>
      <c r="O64" s="19" t="s">
        <v>18</v>
      </c>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row>
    <row r="65" spans="1:256" ht="15">
      <c r="A65" s="6" t="s">
        <v>89</v>
      </c>
      <c r="B65" s="19">
        <v>439702</v>
      </c>
      <c r="C65" s="19"/>
      <c r="D65" s="19" t="s">
        <v>18</v>
      </c>
      <c r="E65" s="19" t="s">
        <v>18</v>
      </c>
      <c r="F65" s="19" t="s">
        <v>18</v>
      </c>
      <c r="G65" s="19"/>
      <c r="H65" s="19">
        <v>2214523</v>
      </c>
      <c r="I65" s="19"/>
      <c r="J65" s="19" t="s">
        <v>18</v>
      </c>
      <c r="K65" s="19" t="s">
        <v>18</v>
      </c>
      <c r="L65" s="19" t="s">
        <v>18</v>
      </c>
      <c r="M65" s="19"/>
      <c r="N65" s="19" t="s">
        <v>18</v>
      </c>
      <c r="O65" s="19" t="s">
        <v>18</v>
      </c>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row>
    <row r="66" spans="1:256" ht="15">
      <c r="A66" s="6" t="s">
        <v>90</v>
      </c>
      <c r="B66" s="19">
        <v>524077</v>
      </c>
      <c r="C66" s="19"/>
      <c r="D66" s="19" t="s">
        <v>18</v>
      </c>
      <c r="E66" s="19" t="s">
        <v>18</v>
      </c>
      <c r="F66" s="19" t="s">
        <v>18</v>
      </c>
      <c r="G66" s="19"/>
      <c r="H66" s="19">
        <v>2435416</v>
      </c>
      <c r="I66" s="19"/>
      <c r="J66" s="19" t="s">
        <v>18</v>
      </c>
      <c r="K66" s="19" t="s">
        <v>18</v>
      </c>
      <c r="L66" s="19" t="s">
        <v>18</v>
      </c>
      <c r="M66" s="19"/>
      <c r="N66" s="19" t="s">
        <v>18</v>
      </c>
      <c r="O66" s="19" t="s">
        <v>18</v>
      </c>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row>
    <row r="67" spans="1:256" ht="15">
      <c r="A67" s="6"/>
      <c r="B67" s="19"/>
      <c r="C67" s="19"/>
      <c r="D67" s="19"/>
      <c r="E67" s="19"/>
      <c r="F67" s="19"/>
      <c r="G67" s="19"/>
      <c r="H67" s="19"/>
      <c r="I67" s="19"/>
      <c r="J67" s="19"/>
      <c r="K67" s="19"/>
      <c r="L67" s="19"/>
      <c r="M67" s="19"/>
      <c r="N67" s="19"/>
      <c r="O67" s="19"/>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row>
    <row r="68" spans="1:256" ht="15">
      <c r="A68" s="21" t="s">
        <v>91</v>
      </c>
      <c r="B68" s="22"/>
      <c r="C68" s="22"/>
      <c r="D68" s="22"/>
      <c r="E68" s="22"/>
      <c r="F68" s="22"/>
      <c r="G68" s="22"/>
      <c r="H68" s="22"/>
      <c r="I68" s="22"/>
      <c r="J68" s="22"/>
      <c r="K68" s="22"/>
      <c r="L68" s="22"/>
      <c r="M68" s="19"/>
      <c r="N68" s="19"/>
      <c r="O68" s="19"/>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row>
    <row r="69" spans="1:256" ht="30" customHeight="1">
      <c r="A69" s="21" t="s">
        <v>92</v>
      </c>
      <c r="B69" s="22"/>
      <c r="C69" s="22"/>
      <c r="D69" s="22"/>
      <c r="E69" s="22"/>
      <c r="F69" s="22"/>
      <c r="G69" s="22"/>
      <c r="H69" s="22"/>
      <c r="I69" s="22"/>
      <c r="J69" s="22"/>
      <c r="K69" s="22"/>
      <c r="L69" s="22"/>
      <c r="M69" s="15"/>
      <c r="N69" s="15"/>
      <c r="O69" s="1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row>
    <row r="70" spans="1:256" ht="45" customHeight="1">
      <c r="A70" s="21" t="s">
        <v>101</v>
      </c>
      <c r="B70" s="22"/>
      <c r="C70" s="22"/>
      <c r="D70" s="22"/>
      <c r="E70" s="22"/>
      <c r="F70" s="22"/>
      <c r="G70" s="22"/>
      <c r="H70" s="22"/>
      <c r="I70" s="22"/>
      <c r="J70" s="22"/>
      <c r="K70" s="22"/>
      <c r="L70" s="22"/>
      <c r="M70" s="15"/>
      <c r="N70" s="15"/>
      <c r="O70" s="1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row>
    <row r="71" spans="1:256" ht="15" customHeight="1">
      <c r="A71" s="21" t="s">
        <v>93</v>
      </c>
      <c r="B71" s="22"/>
      <c r="C71" s="22"/>
      <c r="D71" s="22"/>
      <c r="E71" s="22"/>
      <c r="F71" s="22"/>
      <c r="G71" s="22"/>
      <c r="H71" s="22"/>
      <c r="I71" s="22"/>
      <c r="J71" s="22"/>
      <c r="K71" s="22"/>
      <c r="L71" s="22"/>
      <c r="M71" s="15"/>
      <c r="N71" s="15"/>
      <c r="O71" s="1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row>
    <row r="72" spans="1:256" ht="15" customHeight="1">
      <c r="A72" s="21" t="s">
        <v>94</v>
      </c>
      <c r="B72" s="22"/>
      <c r="C72" s="22"/>
      <c r="D72" s="22"/>
      <c r="E72" s="22"/>
      <c r="F72" s="22"/>
      <c r="G72" s="22"/>
      <c r="H72" s="22"/>
      <c r="I72" s="22"/>
      <c r="J72" s="22"/>
      <c r="K72" s="22"/>
      <c r="L72" s="22"/>
      <c r="M72" s="15"/>
      <c r="N72" s="15"/>
      <c r="O72" s="1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row>
    <row r="73" spans="1:256" ht="15" customHeight="1">
      <c r="A73" s="21" t="s">
        <v>95</v>
      </c>
      <c r="B73" s="22"/>
      <c r="C73" s="22"/>
      <c r="D73" s="22"/>
      <c r="E73" s="22"/>
      <c r="F73" s="22"/>
      <c r="G73" s="22"/>
      <c r="H73" s="22"/>
      <c r="I73" s="22"/>
      <c r="J73" s="22"/>
      <c r="K73" s="22"/>
      <c r="L73" s="22"/>
      <c r="M73" s="15"/>
      <c r="N73" s="15"/>
      <c r="O73" s="1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row>
    <row r="74" spans="1:256" ht="15" customHeight="1">
      <c r="A74" s="21" t="s">
        <v>96</v>
      </c>
      <c r="B74" s="22"/>
      <c r="C74" s="22"/>
      <c r="D74" s="22"/>
      <c r="E74" s="22"/>
      <c r="F74" s="22"/>
      <c r="G74" s="22"/>
      <c r="H74" s="22"/>
      <c r="I74" s="22"/>
      <c r="J74" s="22"/>
      <c r="K74" s="22"/>
      <c r="L74" s="22"/>
      <c r="M74" s="15"/>
      <c r="N74" s="15"/>
      <c r="O74" s="1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row>
    <row r="75" spans="1:256" ht="15">
      <c r="A75" s="21" t="s">
        <v>97</v>
      </c>
      <c r="B75" s="22"/>
      <c r="C75" s="22"/>
      <c r="D75" s="22"/>
      <c r="E75" s="22"/>
      <c r="F75" s="22"/>
      <c r="G75" s="22"/>
      <c r="H75" s="22"/>
      <c r="I75" s="22"/>
      <c r="J75" s="22"/>
      <c r="K75" s="22"/>
      <c r="L75" s="22"/>
      <c r="M75" s="15"/>
      <c r="N75" s="15"/>
      <c r="O75" s="1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row>
    <row r="76" spans="1:256" ht="15">
      <c r="A76" s="21" t="s">
        <v>98</v>
      </c>
      <c r="B76" s="22"/>
      <c r="C76" s="22"/>
      <c r="D76" s="22"/>
      <c r="E76" s="22"/>
      <c r="F76" s="22"/>
      <c r="G76" s="22"/>
      <c r="H76" s="22"/>
      <c r="I76" s="22"/>
      <c r="J76" s="22"/>
      <c r="K76" s="22"/>
      <c r="L76" s="22"/>
      <c r="M76" s="15"/>
      <c r="N76" s="15"/>
      <c r="O76" s="1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row>
    <row r="77" spans="1:256" ht="15">
      <c r="A77" s="21" t="s">
        <v>99</v>
      </c>
      <c r="B77" s="22"/>
      <c r="C77" s="22"/>
      <c r="D77" s="22"/>
      <c r="E77" s="22"/>
      <c r="F77" s="22"/>
      <c r="G77" s="22"/>
      <c r="H77" s="22"/>
      <c r="I77" s="22"/>
      <c r="J77" s="22"/>
      <c r="K77" s="22"/>
      <c r="L77" s="22"/>
      <c r="M77" s="15"/>
      <c r="N77" s="15"/>
      <c r="O77" s="1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row>
    <row r="78" ht="15">
      <c r="A78" s="20"/>
    </row>
    <row r="79" spans="1:12" ht="15.75">
      <c r="A79" s="23" t="s">
        <v>100</v>
      </c>
      <c r="B79" s="24"/>
      <c r="C79" s="24"/>
      <c r="D79" s="24"/>
      <c r="E79" s="24"/>
      <c r="F79" s="24"/>
      <c r="G79" s="24"/>
      <c r="H79" s="24"/>
      <c r="I79" s="24"/>
      <c r="J79" s="24"/>
      <c r="K79" s="24"/>
      <c r="L79" s="24"/>
    </row>
  </sheetData>
  <mergeCells count="14">
    <mergeCell ref="N5:O5"/>
    <mergeCell ref="N7:O7"/>
    <mergeCell ref="D6:E6"/>
    <mergeCell ref="A76:L76"/>
    <mergeCell ref="A77:L77"/>
    <mergeCell ref="A79:L79"/>
    <mergeCell ref="A72:L72"/>
    <mergeCell ref="A73:L73"/>
    <mergeCell ref="A74:L74"/>
    <mergeCell ref="A75:L75"/>
    <mergeCell ref="A68:L68"/>
    <mergeCell ref="A69:L69"/>
    <mergeCell ref="A70:L70"/>
    <mergeCell ref="A71:L71"/>
  </mergeCells>
  <printOptions/>
  <pageMargins left="0.5" right="0.5" top="0.5" bottom="0.5"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